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<sst xmlns="http://schemas.openxmlformats.org/spreadsheetml/2006/main" count="158" uniqueCount="111">
  <si>
    <t>报 价 清 单</t>
  </si>
  <si>
    <t>项目编号</t>
  </si>
  <si>
    <t>蚌血采-2020-01</t>
  </si>
  <si>
    <t>项目名称</t>
  </si>
  <si>
    <t>献血屋装饰</t>
  </si>
  <si>
    <t>一、</t>
  </si>
  <si>
    <t>献血屋内装饰</t>
  </si>
  <si>
    <t>1、基础装饰部分</t>
  </si>
  <si>
    <t>序号</t>
  </si>
  <si>
    <t>商品（服务）名称</t>
  </si>
  <si>
    <t>型号、规格</t>
  </si>
  <si>
    <t>数量</t>
  </si>
  <si>
    <t>单价（元）</t>
  </si>
  <si>
    <t>总价（元）</t>
  </si>
  <si>
    <t>墙面基层处理</t>
  </si>
  <si>
    <t>立邦无醛腻子粉批刮腻子二遍、找补一遍，砂纸打磨。</t>
  </si>
  <si>
    <t>墙面乳胶漆</t>
  </si>
  <si>
    <t>立邦净味120三合一，专业抗碱底漆一遍,面漆两遍,喷涂均匀。</t>
  </si>
  <si>
    <t>地面基层处理</t>
  </si>
  <si>
    <t>铺贴塑胶地板区域地面找平，要求找平层平整，不起灰</t>
  </si>
  <si>
    <t>塑胶地板</t>
  </si>
  <si>
    <t>塑胶专用胶水,铺贴塑胶地板(进口)</t>
  </si>
  <si>
    <t>天棚轻钢龙骨基层</t>
  </si>
  <si>
    <t>轻钢龙骨基层，600*600</t>
  </si>
  <si>
    <t>天棚矿棉板面层</t>
  </si>
  <si>
    <t>塑胶专用胶水,铺贴塑胶地板</t>
  </si>
  <si>
    <t>踢脚线铺贴</t>
  </si>
  <si>
    <t>小计</t>
  </si>
  <si>
    <t>2、门窗、隔断部分</t>
  </si>
  <si>
    <t>无框玻璃门</t>
  </si>
  <si>
    <t>钢龙骨不锈钢板饰面,地弹簧，拉手</t>
  </si>
  <si>
    <t>玻璃隔断</t>
  </si>
  <si>
    <t>钢龙骨不锈钢板饰面,12mm钢化玻璃</t>
  </si>
  <si>
    <t>电动卷帘门</t>
  </si>
  <si>
    <t>不锈钢管格栅卷帘门，电机，蓄电器。</t>
  </si>
  <si>
    <t>铝合金推拉窗/带纱</t>
  </si>
  <si>
    <t>彩色铝合金80系列。</t>
  </si>
  <si>
    <t>不锈钢管防盗窗</t>
  </si>
  <si>
    <r>
      <rPr>
        <sz val="10"/>
        <color theme="1"/>
        <rFont val="宋体"/>
        <charset val="134"/>
        <scheme val="minor"/>
      </rPr>
      <t>不锈钢管</t>
    </r>
    <r>
      <rPr>
        <sz val="10"/>
        <color theme="1"/>
        <rFont val="宋体"/>
        <charset val="134"/>
      </rPr>
      <t>Φ</t>
    </r>
    <r>
      <rPr>
        <sz val="10"/>
        <color theme="1"/>
        <rFont val="宋体"/>
        <charset val="134"/>
        <scheme val="minor"/>
      </rPr>
      <t>20</t>
    </r>
  </si>
  <si>
    <t>不锈钢管/彩钢板雨搭</t>
  </si>
  <si>
    <t>不锈钢管25*25</t>
  </si>
  <si>
    <t>内饰窗帘</t>
  </si>
  <si>
    <t>双层重磅窗帘</t>
  </si>
  <si>
    <t>内饰门帘</t>
  </si>
  <si>
    <t>双层重磅门帘</t>
  </si>
  <si>
    <t>原墙开窗洞</t>
  </si>
  <si>
    <t>原墙开窗洞1500*1500。</t>
  </si>
  <si>
    <t>3、橱柜、制作部分</t>
  </si>
  <si>
    <t>吊柜</t>
  </si>
  <si>
    <t>E0级免漆木工板面层，背板5厘板贴面，机器封边，五金拉手。</t>
  </si>
  <si>
    <t>工作台</t>
  </si>
  <si>
    <t>E0级免漆木工板基层，磨砂不锈钢板饰面，机器封边，五金拉手。</t>
  </si>
  <si>
    <t>填表台</t>
  </si>
  <si>
    <t>采血台</t>
  </si>
  <si>
    <t>热合台</t>
  </si>
  <si>
    <t>4、水电安装部分</t>
  </si>
  <si>
    <t>不锈钢配电箱/PZ-30</t>
  </si>
  <si>
    <t>不锈钢箱体，漏电保护器，空气开关。</t>
  </si>
  <si>
    <t>弱电箱</t>
  </si>
  <si>
    <t>由专业施工外接/含微电脑控制器</t>
  </si>
  <si>
    <r>
      <rPr>
        <sz val="12"/>
        <color theme="1"/>
        <rFont val="宋体"/>
        <charset val="134"/>
      </rPr>
      <t>Φ</t>
    </r>
    <r>
      <rPr>
        <sz val="12"/>
        <color theme="1"/>
        <rFont val="宋体"/>
        <charset val="134"/>
        <scheme val="minor"/>
      </rPr>
      <t>20-PVC线管铺设</t>
    </r>
  </si>
  <si>
    <t>抽线及开槽、恢复结合施工，开槽布设单管单槽，电路转弯斜角处理，保证布线可抽出更换。</t>
  </si>
  <si>
    <r>
      <rPr>
        <sz val="12"/>
        <color theme="1"/>
        <rFont val="宋体"/>
        <charset val="134"/>
      </rPr>
      <t>Φ</t>
    </r>
    <r>
      <rPr>
        <sz val="12"/>
        <color theme="1"/>
        <rFont val="宋体"/>
        <charset val="134"/>
        <scheme val="minor"/>
      </rPr>
      <t>25-PVC线管铺设</t>
    </r>
  </si>
  <si>
    <t>入户电缆</t>
  </si>
  <si>
    <t>5*6mm2低压电缆穿管铺设（预估）</t>
  </si>
  <si>
    <t>BV-4mm2铜线铺设</t>
  </si>
  <si>
    <t>BV-4mm2铜线穿管铺设</t>
  </si>
  <si>
    <t>BV-2.5mm2铜线铺设</t>
  </si>
  <si>
    <t>BV-2.5mm2铜线穿管铺设</t>
  </si>
  <si>
    <t>LED平面灯</t>
  </si>
  <si>
    <t>LED平面灯600*600</t>
  </si>
  <si>
    <t>紫外线消毒灯/T8(国标）</t>
  </si>
  <si>
    <t>石英紫外线消毒灯/T8-30W(国标）</t>
  </si>
  <si>
    <t>开关、插座</t>
  </si>
  <si>
    <t>国标开关插座（综合）</t>
  </si>
  <si>
    <r>
      <rPr>
        <sz val="12"/>
        <color theme="1"/>
        <rFont val="宋体"/>
        <charset val="134"/>
        <scheme val="minor"/>
      </rPr>
      <t>PP-R给水管</t>
    </r>
    <r>
      <rPr>
        <sz val="12"/>
        <color theme="1"/>
        <rFont val="宋体"/>
        <charset val="134"/>
      </rPr>
      <t>Φ</t>
    </r>
    <r>
      <rPr>
        <sz val="12"/>
        <color theme="1"/>
        <rFont val="宋体"/>
        <charset val="134"/>
        <scheme val="minor"/>
      </rPr>
      <t>25</t>
    </r>
  </si>
  <si>
    <t>PP-R给水管Φ25/开槽、埋管、恢复（国标）</t>
  </si>
  <si>
    <r>
      <rPr>
        <sz val="12"/>
        <color theme="1"/>
        <rFont val="宋体"/>
        <charset val="134"/>
        <scheme val="minor"/>
      </rPr>
      <t>U-PVC排水管</t>
    </r>
    <r>
      <rPr>
        <sz val="12"/>
        <color theme="1"/>
        <rFont val="宋体"/>
        <charset val="134"/>
      </rPr>
      <t>Φ</t>
    </r>
    <r>
      <rPr>
        <sz val="12"/>
        <color theme="1"/>
        <rFont val="宋体"/>
        <charset val="134"/>
        <scheme val="minor"/>
      </rPr>
      <t>75</t>
    </r>
  </si>
  <si>
    <t>U-PVC排水管Φ75/开槽、埋管、恢复（国标）</t>
  </si>
  <si>
    <t>不锈钢盥洗盆</t>
  </si>
  <si>
    <t>台盆水嘴</t>
  </si>
  <si>
    <t>5、监控部分</t>
  </si>
  <si>
    <t>显示器</t>
  </si>
  <si>
    <t>监视探头</t>
  </si>
  <si>
    <t>(含布线)</t>
  </si>
  <si>
    <t>6、其他工程</t>
  </si>
  <si>
    <t>室内阁楼拆除</t>
  </si>
  <si>
    <t>拆墙后期搪粉</t>
  </si>
  <si>
    <t>专业拆旧施工队施作后，瓦工进场对毛边进行粉搪找平</t>
  </si>
  <si>
    <t>工具式脚手</t>
  </si>
  <si>
    <t>垃圾清运费</t>
  </si>
  <si>
    <t>将垃圾搬运到指定的垃圾堆放处，外弃。</t>
  </si>
  <si>
    <t>成品保护费</t>
  </si>
  <si>
    <t>家政拓荒保洁</t>
  </si>
  <si>
    <t>施工竣工验收后，对所有施工面进行一次拓荒保洁</t>
  </si>
  <si>
    <t>总价一</t>
  </si>
  <si>
    <t>二、</t>
  </si>
  <si>
    <t>献血屋门头装饰</t>
  </si>
  <si>
    <t>镀锌钢管/铝塑板门头</t>
  </si>
  <si>
    <t>镀锌钢管/铝塑板柱面</t>
  </si>
  <si>
    <t>顶面防水及延墙处理</t>
  </si>
  <si>
    <t>LED发光字</t>
  </si>
  <si>
    <t>显示屏</t>
  </si>
  <si>
    <t>发光字、显示屏/电路、微电脑控制器</t>
  </si>
  <si>
    <t>施工围挡</t>
  </si>
  <si>
    <t>总价二</t>
  </si>
  <si>
    <t>总价=总价一+总价二</t>
  </si>
  <si>
    <t>玖万贰仟贰佰陆拾壹元壹角柒分</t>
  </si>
  <si>
    <t>供应商（单位盖章）</t>
  </si>
  <si>
    <t>联系人：朱世奎</t>
  </si>
  <si>
    <t>联系电话：15255212867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</si>
</sst>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_ "/>
  </numFmts>
  <fonts count="29">
    <font>
      <sz val="11"/>
      <color theme="1"/>
      <name val="宋体"/>
      <charset val="134"/>
      <scheme val="minor"/>
    </font>
    <font>
      <b/>
      <u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1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5" borderId="17" applyNumberFormat="0" applyAlignment="0" applyProtection="0">
      <alignment vertical="center"/>
    </xf>
    <xf numFmtId="0" fontId="22" fillId="15" borderId="14" applyNumberFormat="0" applyAlignment="0" applyProtection="0">
      <alignment vertical="center"/>
    </xf>
    <xf numFmtId="0" fontId="16" fillId="11" borderId="15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 wrapText="1"/>
    </xf>
    <xf numFmtId="177" fontId="2" fillId="0" borderId="7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center" vertical="center" wrapText="1"/>
    </xf>
    <xf numFmtId="177" fontId="2" fillId="0" borderId="10" xfId="0" applyNumberFormat="1" applyFont="1" applyFill="1" applyBorder="1" applyAlignment="1">
      <alignment horizontal="center" vertical="center" wrapText="1"/>
    </xf>
    <xf numFmtId="177" fontId="2" fillId="0" borderId="9" xfId="0" applyNumberFormat="1" applyFont="1" applyFill="1" applyBorder="1" applyAlignment="1">
      <alignment horizontal="left" vertical="center"/>
    </xf>
    <xf numFmtId="2" fontId="2" fillId="0" borderId="9" xfId="0" applyNumberFormat="1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7" fontId="5" fillId="0" borderId="9" xfId="0" applyNumberFormat="1" applyFont="1" applyFill="1" applyBorder="1" applyAlignment="1">
      <alignment vertical="center"/>
    </xf>
    <xf numFmtId="177" fontId="6" fillId="0" borderId="9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 wrapText="1"/>
    </xf>
    <xf numFmtId="177" fontId="7" fillId="0" borderId="9" xfId="0" applyNumberFormat="1" applyFont="1" applyFill="1" applyBorder="1" applyAlignment="1">
      <alignment vertical="center"/>
    </xf>
    <xf numFmtId="177" fontId="8" fillId="0" borderId="9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horizontal="center" vertical="center"/>
    </xf>
    <xf numFmtId="177" fontId="9" fillId="0" borderId="9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left" vertical="center"/>
    </xf>
    <xf numFmtId="2" fontId="8" fillId="0" borderId="9" xfId="0" applyNumberFormat="1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left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7" fontId="3" fillId="0" borderId="12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9"/>
  <sheetViews>
    <sheetView tabSelected="1" topLeftCell="A67" workbookViewId="0">
      <selection activeCell="J73" sqref="J73"/>
    </sheetView>
  </sheetViews>
  <sheetFormatPr defaultColWidth="9" defaultRowHeight="13.5" outlineLevelCol="5"/>
  <cols>
    <col min="1" max="1" width="6.025" style="1" customWidth="1"/>
    <col min="2" max="2" width="20.3916666666667" style="2" customWidth="1"/>
    <col min="3" max="3" width="29.8833333333333" style="3" customWidth="1"/>
    <col min="4" max="4" width="9.61666666666667" style="4" customWidth="1"/>
    <col min="5" max="5" width="10.625" style="5" customWidth="1"/>
    <col min="6" max="6" width="11.3416666666667" style="4" customWidth="1"/>
  </cols>
  <sheetData>
    <row r="1" ht="27.75" spans="1:6">
      <c r="A1" s="6" t="s">
        <v>0</v>
      </c>
      <c r="B1" s="7"/>
      <c r="C1" s="8"/>
      <c r="D1" s="9"/>
      <c r="E1" s="7"/>
      <c r="F1" s="10"/>
    </row>
    <row r="2" ht="23" customHeight="1" spans="1:6">
      <c r="A2" s="11" t="s">
        <v>1</v>
      </c>
      <c r="B2" s="12"/>
      <c r="C2" s="13" t="s">
        <v>2</v>
      </c>
      <c r="D2" s="13"/>
      <c r="E2" s="13"/>
      <c r="F2" s="14"/>
    </row>
    <row r="3" ht="23" customHeight="1" spans="1:6">
      <c r="A3" s="15" t="s">
        <v>3</v>
      </c>
      <c r="B3" s="16"/>
      <c r="C3" s="17" t="s">
        <v>4</v>
      </c>
      <c r="D3" s="17"/>
      <c r="E3" s="17"/>
      <c r="F3" s="18"/>
    </row>
    <row r="4" ht="23" customHeight="1" spans="1:6">
      <c r="A4" s="15" t="s">
        <v>5</v>
      </c>
      <c r="B4" s="19"/>
      <c r="C4" s="17" t="s">
        <v>6</v>
      </c>
      <c r="D4" s="17"/>
      <c r="E4" s="17"/>
      <c r="F4" s="18"/>
    </row>
    <row r="5" ht="23" customHeight="1" spans="1:6">
      <c r="A5" s="15" t="s">
        <v>7</v>
      </c>
      <c r="B5" s="19"/>
      <c r="C5" s="17"/>
      <c r="D5" s="20"/>
      <c r="E5" s="21"/>
      <c r="F5" s="22"/>
    </row>
    <row r="6" ht="23" customHeight="1" spans="1:6">
      <c r="A6" s="15" t="s">
        <v>8</v>
      </c>
      <c r="B6" s="21" t="s">
        <v>9</v>
      </c>
      <c r="C6" s="17" t="s">
        <v>10</v>
      </c>
      <c r="D6" s="20" t="s">
        <v>11</v>
      </c>
      <c r="E6" s="21" t="s">
        <v>12</v>
      </c>
      <c r="F6" s="22" t="s">
        <v>13</v>
      </c>
    </row>
    <row r="7" ht="23" customHeight="1" spans="1:6">
      <c r="A7" s="23">
        <v>1</v>
      </c>
      <c r="B7" s="24" t="s">
        <v>14</v>
      </c>
      <c r="C7" s="25" t="s">
        <v>15</v>
      </c>
      <c r="D7" s="26">
        <v>60.2</v>
      </c>
      <c r="E7" s="27">
        <f>28*1.16</f>
        <v>32.48</v>
      </c>
      <c r="F7" s="28">
        <f t="shared" ref="F7:F13" si="0">D7*E7</f>
        <v>1955.296</v>
      </c>
    </row>
    <row r="8" ht="27" customHeight="1" spans="1:6">
      <c r="A8" s="23">
        <v>2</v>
      </c>
      <c r="B8" s="24" t="s">
        <v>16</v>
      </c>
      <c r="C8" s="25" t="s">
        <v>17</v>
      </c>
      <c r="D8" s="26">
        <v>60.2</v>
      </c>
      <c r="E8" s="27">
        <f>14*1.16</f>
        <v>16.24</v>
      </c>
      <c r="F8" s="28">
        <f t="shared" si="0"/>
        <v>977.648</v>
      </c>
    </row>
    <row r="9" ht="27" customHeight="1" spans="1:6">
      <c r="A9" s="23">
        <v>3</v>
      </c>
      <c r="B9" s="24" t="s">
        <v>18</v>
      </c>
      <c r="C9" s="25" t="s">
        <v>19</v>
      </c>
      <c r="D9" s="26">
        <f t="shared" ref="D9:D12" si="1">3.8*6.5</f>
        <v>24.7</v>
      </c>
      <c r="E9" s="27">
        <f>34*1.16</f>
        <v>39.44</v>
      </c>
      <c r="F9" s="28">
        <f t="shared" si="0"/>
        <v>974.168</v>
      </c>
    </row>
    <row r="10" ht="23" customHeight="1" spans="1:6">
      <c r="A10" s="23">
        <v>4</v>
      </c>
      <c r="B10" s="24" t="s">
        <v>20</v>
      </c>
      <c r="C10" s="25" t="s">
        <v>21</v>
      </c>
      <c r="D10" s="26">
        <f t="shared" si="1"/>
        <v>24.7</v>
      </c>
      <c r="E10" s="26">
        <f>178*1.16</f>
        <v>206.48</v>
      </c>
      <c r="F10" s="28">
        <f t="shared" si="0"/>
        <v>5100.056</v>
      </c>
    </row>
    <row r="11" ht="23" customHeight="1" spans="1:6">
      <c r="A11" s="23">
        <v>5</v>
      </c>
      <c r="B11" s="24" t="s">
        <v>22</v>
      </c>
      <c r="C11" s="25" t="s">
        <v>23</v>
      </c>
      <c r="D11" s="26">
        <f t="shared" si="1"/>
        <v>24.7</v>
      </c>
      <c r="E11" s="26">
        <f>73*1.16</f>
        <v>84.68</v>
      </c>
      <c r="F11" s="28">
        <f t="shared" si="0"/>
        <v>2091.596</v>
      </c>
    </row>
    <row r="12" ht="23" customHeight="1" spans="1:6">
      <c r="A12" s="23">
        <v>6</v>
      </c>
      <c r="B12" s="24" t="s">
        <v>24</v>
      </c>
      <c r="C12" s="25" t="s">
        <v>25</v>
      </c>
      <c r="D12" s="26">
        <f t="shared" si="1"/>
        <v>24.7</v>
      </c>
      <c r="E12" s="26">
        <f>46*1.16</f>
        <v>53.36</v>
      </c>
      <c r="F12" s="28">
        <f t="shared" si="0"/>
        <v>1317.992</v>
      </c>
    </row>
    <row r="13" ht="23" customHeight="1" spans="1:6">
      <c r="A13" s="29">
        <v>7</v>
      </c>
      <c r="B13" s="30" t="s">
        <v>26</v>
      </c>
      <c r="C13" s="31"/>
      <c r="D13" s="32">
        <f>3.8*6.5*2+0.2*2</f>
        <v>49.8</v>
      </c>
      <c r="E13" s="32">
        <f>26*1.16</f>
        <v>30.16</v>
      </c>
      <c r="F13" s="28">
        <f t="shared" si="0"/>
        <v>1501.968</v>
      </c>
    </row>
    <row r="14" ht="23" customHeight="1" spans="1:6">
      <c r="A14" s="23">
        <v>8</v>
      </c>
      <c r="B14" s="24" t="s">
        <v>27</v>
      </c>
      <c r="C14" s="33"/>
      <c r="D14" s="26"/>
      <c r="E14" s="27"/>
      <c r="F14" s="22">
        <f>SUM(F7:F13)</f>
        <v>13918.724</v>
      </c>
    </row>
    <row r="15" ht="23" customHeight="1" spans="1:6">
      <c r="A15" s="15" t="s">
        <v>28</v>
      </c>
      <c r="B15" s="19"/>
      <c r="C15" s="17"/>
      <c r="D15" s="20"/>
      <c r="E15" s="21"/>
      <c r="F15" s="22"/>
    </row>
    <row r="16" ht="23" customHeight="1" spans="1:6">
      <c r="A16" s="15" t="s">
        <v>8</v>
      </c>
      <c r="B16" s="21" t="s">
        <v>9</v>
      </c>
      <c r="C16" s="17" t="s">
        <v>10</v>
      </c>
      <c r="D16" s="20" t="s">
        <v>11</v>
      </c>
      <c r="E16" s="21" t="s">
        <v>12</v>
      </c>
      <c r="F16" s="22" t="s">
        <v>13</v>
      </c>
    </row>
    <row r="17" ht="23" customHeight="1" spans="1:6">
      <c r="A17" s="23">
        <v>1</v>
      </c>
      <c r="B17" s="24" t="s">
        <v>29</v>
      </c>
      <c r="C17" s="25" t="s">
        <v>30</v>
      </c>
      <c r="D17" s="26">
        <f>1.15*2.2</f>
        <v>2.53</v>
      </c>
      <c r="E17" s="32">
        <f>420*1.16</f>
        <v>487.2</v>
      </c>
      <c r="F17" s="28">
        <f t="shared" ref="F17:F25" si="2">D17*E17</f>
        <v>1232.616</v>
      </c>
    </row>
    <row r="18" ht="23" customHeight="1" spans="1:6">
      <c r="A18" s="23">
        <v>2</v>
      </c>
      <c r="B18" s="24" t="s">
        <v>31</v>
      </c>
      <c r="C18" s="25" t="s">
        <v>32</v>
      </c>
      <c r="D18" s="26">
        <f>(3.8*3.8)-2.5+(2.7*2.6)</f>
        <v>18.96</v>
      </c>
      <c r="E18" s="27">
        <f>320*1.16</f>
        <v>371.2</v>
      </c>
      <c r="F18" s="28">
        <f t="shared" si="2"/>
        <v>7037.952</v>
      </c>
    </row>
    <row r="19" ht="23" customHeight="1" spans="1:6">
      <c r="A19" s="23">
        <v>3</v>
      </c>
      <c r="B19" s="24" t="s">
        <v>33</v>
      </c>
      <c r="C19" s="25" t="s">
        <v>34</v>
      </c>
      <c r="D19" s="26">
        <v>14.4</v>
      </c>
      <c r="E19" s="27">
        <f>380*1.16</f>
        <v>440.8</v>
      </c>
      <c r="F19" s="28">
        <f t="shared" si="2"/>
        <v>6347.52</v>
      </c>
    </row>
    <row r="20" ht="23" customHeight="1" spans="1:6">
      <c r="A20" s="23">
        <v>4</v>
      </c>
      <c r="B20" s="24" t="s">
        <v>35</v>
      </c>
      <c r="C20" s="25" t="s">
        <v>36</v>
      </c>
      <c r="D20" s="26">
        <f>1.5*1.5</f>
        <v>2.25</v>
      </c>
      <c r="E20" s="27">
        <f>320*1.16</f>
        <v>371.2</v>
      </c>
      <c r="F20" s="28">
        <f t="shared" si="2"/>
        <v>835.2</v>
      </c>
    </row>
    <row r="21" ht="23" customHeight="1" spans="1:6">
      <c r="A21" s="23">
        <v>5</v>
      </c>
      <c r="B21" s="24" t="s">
        <v>37</v>
      </c>
      <c r="C21" s="25" t="s">
        <v>38</v>
      </c>
      <c r="D21" s="26">
        <f>1.5*1.5</f>
        <v>2.25</v>
      </c>
      <c r="E21" s="27">
        <f>135*1.16</f>
        <v>156.6</v>
      </c>
      <c r="F21" s="28">
        <f t="shared" si="2"/>
        <v>352.35</v>
      </c>
    </row>
    <row r="22" ht="23" customHeight="1" spans="1:6">
      <c r="A22" s="23">
        <v>6</v>
      </c>
      <c r="B22" s="24" t="s">
        <v>39</v>
      </c>
      <c r="C22" s="25" t="s">
        <v>40</v>
      </c>
      <c r="D22" s="26">
        <v>2</v>
      </c>
      <c r="E22" s="27">
        <f>113*1.16</f>
        <v>131.08</v>
      </c>
      <c r="F22" s="28">
        <f t="shared" si="2"/>
        <v>262.16</v>
      </c>
    </row>
    <row r="23" ht="23" customHeight="1" spans="1:6">
      <c r="A23" s="23">
        <v>7</v>
      </c>
      <c r="B23" s="24" t="s">
        <v>41</v>
      </c>
      <c r="C23" s="25" t="s">
        <v>42</v>
      </c>
      <c r="D23" s="26">
        <v>4</v>
      </c>
      <c r="E23" s="27">
        <f>90*1.16</f>
        <v>104.4</v>
      </c>
      <c r="F23" s="28">
        <f t="shared" si="2"/>
        <v>417.6</v>
      </c>
    </row>
    <row r="24" ht="23" customHeight="1" spans="1:6">
      <c r="A24" s="23">
        <v>8</v>
      </c>
      <c r="B24" s="24" t="s">
        <v>43</v>
      </c>
      <c r="C24" s="25" t="s">
        <v>44</v>
      </c>
      <c r="D24" s="26">
        <f>4.5*3.8</f>
        <v>17.1</v>
      </c>
      <c r="E24" s="27">
        <f>90*1.16</f>
        <v>104.4</v>
      </c>
      <c r="F24" s="28">
        <f t="shared" si="2"/>
        <v>1785.24</v>
      </c>
    </row>
    <row r="25" ht="23" customHeight="1" spans="1:6">
      <c r="A25" s="23">
        <v>9</v>
      </c>
      <c r="B25" s="24" t="s">
        <v>45</v>
      </c>
      <c r="C25" s="25" t="s">
        <v>46</v>
      </c>
      <c r="D25" s="26">
        <v>1</v>
      </c>
      <c r="E25" s="27">
        <f>260*1.16</f>
        <v>301.6</v>
      </c>
      <c r="F25" s="28">
        <f t="shared" si="2"/>
        <v>301.6</v>
      </c>
    </row>
    <row r="26" ht="23" customHeight="1" spans="1:6">
      <c r="A26" s="23">
        <v>10</v>
      </c>
      <c r="B26" s="24" t="s">
        <v>27</v>
      </c>
      <c r="C26" s="33"/>
      <c r="D26" s="26"/>
      <c r="E26" s="27"/>
      <c r="F26" s="22">
        <f>SUM(F17:F25)</f>
        <v>18572.238</v>
      </c>
    </row>
    <row r="27" ht="23" customHeight="1" spans="1:6">
      <c r="A27" s="23"/>
      <c r="B27" s="24"/>
      <c r="C27" s="33"/>
      <c r="D27" s="26"/>
      <c r="E27" s="27"/>
      <c r="F27" s="28"/>
    </row>
    <row r="28" ht="23" customHeight="1" spans="1:6">
      <c r="A28" s="15" t="s">
        <v>47</v>
      </c>
      <c r="B28" s="19"/>
      <c r="C28" s="17"/>
      <c r="D28" s="20"/>
      <c r="E28" s="21"/>
      <c r="F28" s="22"/>
    </row>
    <row r="29" ht="23" customHeight="1" spans="1:6">
      <c r="A29" s="15" t="s">
        <v>8</v>
      </c>
      <c r="B29" s="21" t="s">
        <v>9</v>
      </c>
      <c r="C29" s="17" t="s">
        <v>10</v>
      </c>
      <c r="D29" s="20" t="s">
        <v>11</v>
      </c>
      <c r="E29" s="21" t="s">
        <v>12</v>
      </c>
      <c r="F29" s="22" t="s">
        <v>13</v>
      </c>
    </row>
    <row r="30" ht="28" customHeight="1" spans="1:6">
      <c r="A30" s="23">
        <v>1</v>
      </c>
      <c r="B30" s="24" t="s">
        <v>48</v>
      </c>
      <c r="C30" s="25" t="s">
        <v>49</v>
      </c>
      <c r="D30" s="26">
        <f>5.4</f>
        <v>5.4</v>
      </c>
      <c r="E30" s="27">
        <f>625*1.16</f>
        <v>725</v>
      </c>
      <c r="F30" s="28">
        <f t="shared" ref="F30:F34" si="3">D30*E30</f>
        <v>3915</v>
      </c>
    </row>
    <row r="31" ht="23" customHeight="1" spans="1:6">
      <c r="A31" s="23">
        <v>2</v>
      </c>
      <c r="B31" s="24" t="s">
        <v>50</v>
      </c>
      <c r="C31" s="25" t="s">
        <v>51</v>
      </c>
      <c r="D31" s="26">
        <f>2.7+2+0.7+1.8</f>
        <v>7.2</v>
      </c>
      <c r="E31" s="27">
        <f>905*1.16</f>
        <v>1049.8</v>
      </c>
      <c r="F31" s="28">
        <f t="shared" si="3"/>
        <v>7558.56</v>
      </c>
    </row>
    <row r="32" ht="28" customHeight="1" spans="1:6">
      <c r="A32" s="23">
        <v>3</v>
      </c>
      <c r="B32" s="24" t="s">
        <v>52</v>
      </c>
      <c r="C32" s="25" t="s">
        <v>49</v>
      </c>
      <c r="D32" s="26">
        <v>1</v>
      </c>
      <c r="E32" s="27">
        <f>790*1.16</f>
        <v>916.4</v>
      </c>
      <c r="F32" s="28">
        <f t="shared" si="3"/>
        <v>916.4</v>
      </c>
    </row>
    <row r="33" ht="29" customHeight="1" spans="1:6">
      <c r="A33" s="23">
        <v>4</v>
      </c>
      <c r="B33" s="24" t="s">
        <v>53</v>
      </c>
      <c r="C33" s="25" t="s">
        <v>49</v>
      </c>
      <c r="D33" s="26">
        <v>2</v>
      </c>
      <c r="E33" s="27">
        <f>840*1.16</f>
        <v>974.4</v>
      </c>
      <c r="F33" s="28">
        <f t="shared" si="3"/>
        <v>1948.8</v>
      </c>
    </row>
    <row r="34" ht="30" customHeight="1" spans="1:6">
      <c r="A34" s="23">
        <v>5</v>
      </c>
      <c r="B34" s="24" t="s">
        <v>54</v>
      </c>
      <c r="C34" s="25" t="s">
        <v>51</v>
      </c>
      <c r="D34" s="26">
        <v>1</v>
      </c>
      <c r="E34" s="27">
        <f>800*1.16</f>
        <v>928</v>
      </c>
      <c r="F34" s="28">
        <f t="shared" si="3"/>
        <v>928</v>
      </c>
    </row>
    <row r="35" ht="23" customHeight="1" spans="1:6">
      <c r="A35" s="23">
        <v>6</v>
      </c>
      <c r="B35" s="24" t="s">
        <v>27</v>
      </c>
      <c r="C35" s="25"/>
      <c r="D35" s="26"/>
      <c r="E35" s="27"/>
      <c r="F35" s="22">
        <f>SUM(F30:F34)</f>
        <v>15266.76</v>
      </c>
    </row>
    <row r="36" ht="23" customHeight="1" spans="1:6">
      <c r="A36" s="15" t="s">
        <v>55</v>
      </c>
      <c r="B36" s="19"/>
      <c r="C36" s="17"/>
      <c r="D36" s="20"/>
      <c r="E36" s="21"/>
      <c r="F36" s="22"/>
    </row>
    <row r="37" ht="23" customHeight="1" spans="1:6">
      <c r="A37" s="15" t="s">
        <v>8</v>
      </c>
      <c r="B37" s="21" t="s">
        <v>9</v>
      </c>
      <c r="C37" s="17" t="s">
        <v>10</v>
      </c>
      <c r="D37" s="20" t="s">
        <v>11</v>
      </c>
      <c r="E37" s="21" t="s">
        <v>12</v>
      </c>
      <c r="F37" s="22" t="s">
        <v>13</v>
      </c>
    </row>
    <row r="38" ht="23" customHeight="1" spans="1:6">
      <c r="A38" s="23">
        <v>1</v>
      </c>
      <c r="B38" s="24" t="s">
        <v>56</v>
      </c>
      <c r="C38" s="25" t="s">
        <v>57</v>
      </c>
      <c r="D38" s="26">
        <v>1</v>
      </c>
      <c r="E38" s="27">
        <f>440*1.16</f>
        <v>510.4</v>
      </c>
      <c r="F38" s="28">
        <f t="shared" ref="F38:F51" si="4">D38*E38</f>
        <v>510.4</v>
      </c>
    </row>
    <row r="39" ht="23" customHeight="1" spans="1:6">
      <c r="A39" s="23">
        <v>2</v>
      </c>
      <c r="B39" s="24" t="s">
        <v>58</v>
      </c>
      <c r="C39" s="25" t="s">
        <v>59</v>
      </c>
      <c r="D39" s="26">
        <v>1</v>
      </c>
      <c r="E39" s="27">
        <f>405*1.16</f>
        <v>469.8</v>
      </c>
      <c r="F39" s="28">
        <f t="shared" si="4"/>
        <v>469.8</v>
      </c>
    </row>
    <row r="40" ht="39" customHeight="1" spans="1:6">
      <c r="A40" s="23">
        <v>3</v>
      </c>
      <c r="B40" s="34" t="s">
        <v>60</v>
      </c>
      <c r="C40" s="25" t="s">
        <v>61</v>
      </c>
      <c r="D40" s="26">
        <f>3.8*4+2.5*8+6.5*4</f>
        <v>61.2</v>
      </c>
      <c r="E40" s="27">
        <f>11*1.16</f>
        <v>12.76</v>
      </c>
      <c r="F40" s="28">
        <f t="shared" si="4"/>
        <v>780.912</v>
      </c>
    </row>
    <row r="41" ht="40" customHeight="1" spans="1:6">
      <c r="A41" s="23">
        <v>4</v>
      </c>
      <c r="B41" s="34" t="s">
        <v>62</v>
      </c>
      <c r="C41" s="25" t="s">
        <v>61</v>
      </c>
      <c r="D41" s="26">
        <f>3.8*2+2.5*2+10</f>
        <v>22.6</v>
      </c>
      <c r="E41" s="27">
        <f>12.5*1.16</f>
        <v>14.5</v>
      </c>
      <c r="F41" s="28">
        <f t="shared" si="4"/>
        <v>327.7</v>
      </c>
    </row>
    <row r="42" ht="23" customHeight="1" spans="1:6">
      <c r="A42" s="23">
        <v>5</v>
      </c>
      <c r="B42" s="34" t="s">
        <v>63</v>
      </c>
      <c r="C42" s="25" t="s">
        <v>64</v>
      </c>
      <c r="D42" s="26">
        <v>25</v>
      </c>
      <c r="E42" s="27">
        <f>29.2*1.16</f>
        <v>33.872</v>
      </c>
      <c r="F42" s="28">
        <f t="shared" si="4"/>
        <v>846.8</v>
      </c>
    </row>
    <row r="43" ht="23" customHeight="1" spans="1:6">
      <c r="A43" s="23">
        <v>6</v>
      </c>
      <c r="B43" s="34" t="s">
        <v>65</v>
      </c>
      <c r="C43" s="25" t="s">
        <v>66</v>
      </c>
      <c r="D43" s="26">
        <f>15*3</f>
        <v>45</v>
      </c>
      <c r="E43" s="27">
        <f>6.65*1.16</f>
        <v>7.714</v>
      </c>
      <c r="F43" s="28">
        <f t="shared" si="4"/>
        <v>347.13</v>
      </c>
    </row>
    <row r="44" ht="23" customHeight="1" spans="1:6">
      <c r="A44" s="23">
        <v>7</v>
      </c>
      <c r="B44" s="34" t="s">
        <v>67</v>
      </c>
      <c r="C44" s="25" t="s">
        <v>68</v>
      </c>
      <c r="D44" s="26">
        <f>(3.8*4+6.5*4+2.5*6)*3+65</f>
        <v>233.6</v>
      </c>
      <c r="E44" s="27">
        <f>5.55*1.16</f>
        <v>6.438</v>
      </c>
      <c r="F44" s="28">
        <f t="shared" si="4"/>
        <v>1503.9168</v>
      </c>
    </row>
    <row r="45" ht="23" customHeight="1" spans="1:6">
      <c r="A45" s="29">
        <v>8</v>
      </c>
      <c r="B45" s="35" t="s">
        <v>69</v>
      </c>
      <c r="C45" s="31" t="s">
        <v>70</v>
      </c>
      <c r="D45" s="32">
        <v>6</v>
      </c>
      <c r="E45" s="36">
        <f>205*1.16</f>
        <v>237.8</v>
      </c>
      <c r="F45" s="28">
        <f t="shared" si="4"/>
        <v>1426.8</v>
      </c>
    </row>
    <row r="46" ht="23" customHeight="1" spans="1:6">
      <c r="A46" s="29">
        <v>9</v>
      </c>
      <c r="B46" s="35" t="s">
        <v>71</v>
      </c>
      <c r="C46" s="31" t="s">
        <v>72</v>
      </c>
      <c r="D46" s="32">
        <v>6</v>
      </c>
      <c r="E46" s="36">
        <f>125*1.16</f>
        <v>145</v>
      </c>
      <c r="F46" s="28">
        <f t="shared" si="4"/>
        <v>870</v>
      </c>
    </row>
    <row r="47" ht="23" customHeight="1" spans="1:6">
      <c r="A47" s="23">
        <v>10</v>
      </c>
      <c r="B47" s="34" t="s">
        <v>73</v>
      </c>
      <c r="C47" s="25" t="s">
        <v>74</v>
      </c>
      <c r="D47" s="26">
        <v>28</v>
      </c>
      <c r="E47" s="27">
        <v>48</v>
      </c>
      <c r="F47" s="28">
        <f t="shared" si="4"/>
        <v>1344</v>
      </c>
    </row>
    <row r="48" ht="25" customHeight="1" spans="1:6">
      <c r="A48" s="23">
        <v>11</v>
      </c>
      <c r="B48" s="24" t="s">
        <v>75</v>
      </c>
      <c r="C48" s="25" t="s">
        <v>76</v>
      </c>
      <c r="D48" s="26">
        <f>6.5+1.5*2</f>
        <v>9.5</v>
      </c>
      <c r="E48" s="27">
        <f>34.5*1.16</f>
        <v>40.02</v>
      </c>
      <c r="F48" s="28">
        <f t="shared" si="4"/>
        <v>380.19</v>
      </c>
    </row>
    <row r="49" ht="26" customHeight="1" spans="1:6">
      <c r="A49" s="23">
        <v>12</v>
      </c>
      <c r="B49" s="24" t="s">
        <v>77</v>
      </c>
      <c r="C49" s="25" t="s">
        <v>78</v>
      </c>
      <c r="D49" s="26">
        <f>6.5+1.5</f>
        <v>8</v>
      </c>
      <c r="E49" s="27">
        <v>55.6</v>
      </c>
      <c r="F49" s="28">
        <f t="shared" si="4"/>
        <v>444.8</v>
      </c>
    </row>
    <row r="50" ht="23" customHeight="1" spans="1:6">
      <c r="A50" s="23">
        <v>13</v>
      </c>
      <c r="B50" s="24" t="s">
        <v>79</v>
      </c>
      <c r="C50" s="33"/>
      <c r="D50" s="26">
        <v>1</v>
      </c>
      <c r="E50" s="27">
        <f>315*1.16</f>
        <v>365.4</v>
      </c>
      <c r="F50" s="28">
        <f t="shared" si="4"/>
        <v>365.4</v>
      </c>
    </row>
    <row r="51" ht="23" customHeight="1" spans="1:6">
      <c r="A51" s="23">
        <v>14</v>
      </c>
      <c r="B51" s="24" t="s">
        <v>80</v>
      </c>
      <c r="C51" s="33"/>
      <c r="D51" s="26">
        <v>1</v>
      </c>
      <c r="E51" s="27">
        <f>162*1.16</f>
        <v>187.92</v>
      </c>
      <c r="F51" s="28">
        <f t="shared" si="4"/>
        <v>187.92</v>
      </c>
    </row>
    <row r="52" ht="23" customHeight="1" spans="1:6">
      <c r="A52" s="23">
        <v>15</v>
      </c>
      <c r="B52" s="24" t="s">
        <v>27</v>
      </c>
      <c r="C52" s="33"/>
      <c r="D52" s="26"/>
      <c r="E52" s="27"/>
      <c r="F52" s="22">
        <f>SUM(F38:F51)</f>
        <v>9805.7688</v>
      </c>
    </row>
    <row r="53" ht="23" customHeight="1" spans="1:6">
      <c r="A53" s="15" t="s">
        <v>81</v>
      </c>
      <c r="B53" s="19"/>
      <c r="C53" s="17"/>
      <c r="D53" s="20"/>
      <c r="E53" s="21"/>
      <c r="F53" s="22"/>
    </row>
    <row r="54" ht="23" customHeight="1" spans="1:6">
      <c r="A54" s="15" t="s">
        <v>8</v>
      </c>
      <c r="B54" s="21" t="s">
        <v>9</v>
      </c>
      <c r="C54" s="17" t="s">
        <v>10</v>
      </c>
      <c r="D54" s="20" t="s">
        <v>11</v>
      </c>
      <c r="E54" s="21" t="s">
        <v>12</v>
      </c>
      <c r="F54" s="22" t="s">
        <v>13</v>
      </c>
    </row>
    <row r="55" ht="23" customHeight="1" spans="1:6">
      <c r="A55" s="23">
        <v>1</v>
      </c>
      <c r="B55" s="24" t="s">
        <v>82</v>
      </c>
      <c r="C55" s="33"/>
      <c r="D55" s="26">
        <v>1</v>
      </c>
      <c r="E55" s="27">
        <f>560*1.16</f>
        <v>649.6</v>
      </c>
      <c r="F55" s="28">
        <f t="shared" ref="F55:F65" si="5">D55*E55</f>
        <v>649.6</v>
      </c>
    </row>
    <row r="56" ht="23" customHeight="1" spans="1:6">
      <c r="A56" s="23">
        <v>2</v>
      </c>
      <c r="B56" s="24" t="s">
        <v>83</v>
      </c>
      <c r="C56" s="33" t="s">
        <v>84</v>
      </c>
      <c r="D56" s="26">
        <v>3</v>
      </c>
      <c r="E56" s="27">
        <f>750*1.16</f>
        <v>870</v>
      </c>
      <c r="F56" s="28">
        <f t="shared" si="5"/>
        <v>2610</v>
      </c>
    </row>
    <row r="57" ht="23" customHeight="1" spans="1:6">
      <c r="A57" s="23">
        <v>3</v>
      </c>
      <c r="B57" s="24" t="s">
        <v>27</v>
      </c>
      <c r="C57" s="33"/>
      <c r="D57" s="26"/>
      <c r="E57" s="27"/>
      <c r="F57" s="22">
        <f>SUM(F55:F56)</f>
        <v>3259.6</v>
      </c>
    </row>
    <row r="58" ht="23" customHeight="1" spans="1:6">
      <c r="A58" s="15" t="s">
        <v>85</v>
      </c>
      <c r="B58" s="19"/>
      <c r="C58" s="17"/>
      <c r="D58" s="20"/>
      <c r="E58" s="21"/>
      <c r="F58" s="22"/>
    </row>
    <row r="59" ht="23" customHeight="1" spans="1:6">
      <c r="A59" s="15" t="s">
        <v>8</v>
      </c>
      <c r="B59" s="21" t="s">
        <v>9</v>
      </c>
      <c r="C59" s="17" t="s">
        <v>10</v>
      </c>
      <c r="D59" s="20" t="s">
        <v>11</v>
      </c>
      <c r="E59" s="21" t="s">
        <v>12</v>
      </c>
      <c r="F59" s="22" t="s">
        <v>13</v>
      </c>
    </row>
    <row r="60" ht="23" customHeight="1" spans="1:6">
      <c r="A60" s="23">
        <v>1</v>
      </c>
      <c r="B60" s="24" t="s">
        <v>86</v>
      </c>
      <c r="C60" s="33"/>
      <c r="D60" s="26">
        <v>1</v>
      </c>
      <c r="E60" s="27">
        <v>1000</v>
      </c>
      <c r="F60" s="28">
        <f t="shared" si="5"/>
        <v>1000</v>
      </c>
    </row>
    <row r="61" ht="29" customHeight="1" spans="1:6">
      <c r="A61" s="23">
        <v>2</v>
      </c>
      <c r="B61" s="24" t="s">
        <v>87</v>
      </c>
      <c r="C61" s="25" t="s">
        <v>88</v>
      </c>
      <c r="D61" s="26">
        <f>1.5*4+3.8*3</f>
        <v>17.4</v>
      </c>
      <c r="E61" s="27">
        <f>30*1.16</f>
        <v>34.8</v>
      </c>
      <c r="F61" s="28">
        <f t="shared" si="5"/>
        <v>605.52</v>
      </c>
    </row>
    <row r="62" ht="23" customHeight="1" spans="1:6">
      <c r="A62" s="23">
        <v>3</v>
      </c>
      <c r="B62" s="24" t="s">
        <v>89</v>
      </c>
      <c r="C62" s="25"/>
      <c r="D62" s="26">
        <v>1</v>
      </c>
      <c r="E62" s="27">
        <v>500</v>
      </c>
      <c r="F62" s="28">
        <f t="shared" si="5"/>
        <v>500</v>
      </c>
    </row>
    <row r="63" ht="23" customHeight="1" spans="1:6">
      <c r="A63" s="23">
        <v>4</v>
      </c>
      <c r="B63" s="24" t="s">
        <v>90</v>
      </c>
      <c r="C63" s="25" t="s">
        <v>91</v>
      </c>
      <c r="D63" s="26">
        <v>1</v>
      </c>
      <c r="E63" s="27">
        <v>500</v>
      </c>
      <c r="F63" s="28">
        <f t="shared" si="5"/>
        <v>500</v>
      </c>
    </row>
    <row r="64" ht="23" customHeight="1" spans="1:6">
      <c r="A64" s="23">
        <v>5</v>
      </c>
      <c r="B64" s="24" t="s">
        <v>92</v>
      </c>
      <c r="C64" s="25"/>
      <c r="D64" s="26">
        <v>1</v>
      </c>
      <c r="E64" s="27">
        <v>400</v>
      </c>
      <c r="F64" s="28">
        <f t="shared" si="5"/>
        <v>400</v>
      </c>
    </row>
    <row r="65" ht="28" customHeight="1" spans="1:6">
      <c r="A65" s="23">
        <v>6</v>
      </c>
      <c r="B65" s="24" t="s">
        <v>93</v>
      </c>
      <c r="C65" s="37" t="s">
        <v>94</v>
      </c>
      <c r="D65" s="26">
        <v>1</v>
      </c>
      <c r="E65" s="27">
        <v>300</v>
      </c>
      <c r="F65" s="28">
        <f t="shared" si="5"/>
        <v>300</v>
      </c>
    </row>
    <row r="66" ht="23" customHeight="1" spans="1:6">
      <c r="A66" s="23">
        <v>7</v>
      </c>
      <c r="B66" s="24" t="s">
        <v>27</v>
      </c>
      <c r="C66" s="33"/>
      <c r="D66" s="26"/>
      <c r="E66" s="27"/>
      <c r="F66" s="22">
        <f>SUM(F60:F65)</f>
        <v>3305.52</v>
      </c>
    </row>
    <row r="67" ht="23" customHeight="1" spans="1:6">
      <c r="A67" s="15" t="s">
        <v>95</v>
      </c>
      <c r="B67" s="16"/>
      <c r="C67" s="33"/>
      <c r="D67" s="26"/>
      <c r="E67" s="27"/>
      <c r="F67" s="22">
        <f>F66+F57+F52+F35+F26+F14</f>
        <v>64128.6108</v>
      </c>
    </row>
    <row r="68" ht="23" customHeight="1" spans="1:6">
      <c r="A68" s="15" t="s">
        <v>96</v>
      </c>
      <c r="B68" s="19"/>
      <c r="C68" s="17" t="s">
        <v>97</v>
      </c>
      <c r="D68" s="17"/>
      <c r="E68" s="17"/>
      <c r="F68" s="18"/>
    </row>
    <row r="69" ht="23" customHeight="1" spans="1:6">
      <c r="A69" s="15" t="s">
        <v>8</v>
      </c>
      <c r="B69" s="21" t="s">
        <v>9</v>
      </c>
      <c r="C69" s="17" t="s">
        <v>10</v>
      </c>
      <c r="D69" s="20" t="s">
        <v>11</v>
      </c>
      <c r="E69" s="21" t="s">
        <v>12</v>
      </c>
      <c r="F69" s="22" t="s">
        <v>13</v>
      </c>
    </row>
    <row r="70" ht="23" customHeight="1" spans="1:6">
      <c r="A70" s="23">
        <v>1</v>
      </c>
      <c r="B70" s="38" t="s">
        <v>98</v>
      </c>
      <c r="C70" s="33"/>
      <c r="D70" s="39">
        <f>8.9*1.8+8.9*0.8+0.8*1.8*2+8.9*1+3.6*1.8+3.6*2.5</f>
        <v>50.4</v>
      </c>
      <c r="E70" s="27">
        <f>185*1.12</f>
        <v>207.2</v>
      </c>
      <c r="F70" s="28">
        <f t="shared" ref="F70:F77" si="6">D70*E70</f>
        <v>10442.88</v>
      </c>
    </row>
    <row r="71" ht="23" customHeight="1" spans="1:6">
      <c r="A71" s="23">
        <v>2</v>
      </c>
      <c r="B71" s="38" t="s">
        <v>99</v>
      </c>
      <c r="C71" s="33"/>
      <c r="D71" s="39">
        <v>5.4</v>
      </c>
      <c r="E71" s="27">
        <f>180*1.12</f>
        <v>201.6</v>
      </c>
      <c r="F71" s="28">
        <f t="shared" si="6"/>
        <v>1088.64</v>
      </c>
    </row>
    <row r="72" ht="23" customHeight="1" spans="1:6">
      <c r="A72" s="23">
        <v>3</v>
      </c>
      <c r="B72" s="38" t="s">
        <v>100</v>
      </c>
      <c r="C72" s="33"/>
      <c r="D72" s="39">
        <f>8.9*1.1+3.6*0.75</f>
        <v>12.49</v>
      </c>
      <c r="E72" s="27">
        <f>60*1.12</f>
        <v>67.2</v>
      </c>
      <c r="F72" s="28">
        <f t="shared" si="6"/>
        <v>839.328</v>
      </c>
    </row>
    <row r="73" ht="23" customHeight="1" spans="1:6">
      <c r="A73" s="23">
        <v>4</v>
      </c>
      <c r="B73" s="38" t="s">
        <v>101</v>
      </c>
      <c r="C73" s="33"/>
      <c r="D73" s="39">
        <f>1.3+0.7+3.12+3+2.7+0.9+1+2+3.64</f>
        <v>18.36</v>
      </c>
      <c r="E73" s="27">
        <f>380*1.12</f>
        <v>425.6</v>
      </c>
      <c r="F73" s="28">
        <f t="shared" si="6"/>
        <v>7814.016</v>
      </c>
    </row>
    <row r="74" ht="23" customHeight="1" spans="1:6">
      <c r="A74" s="23">
        <v>5</v>
      </c>
      <c r="B74" s="38" t="s">
        <v>102</v>
      </c>
      <c r="C74" s="33"/>
      <c r="D74" s="39">
        <v>5.208</v>
      </c>
      <c r="E74" s="27">
        <f>920*1.12</f>
        <v>1030.4</v>
      </c>
      <c r="F74" s="28">
        <f t="shared" si="6"/>
        <v>5366.3232</v>
      </c>
    </row>
    <row r="75" ht="32" customHeight="1" spans="1:6">
      <c r="A75" s="23">
        <v>6</v>
      </c>
      <c r="B75" s="40" t="s">
        <v>103</v>
      </c>
      <c r="C75" s="33"/>
      <c r="D75" s="39">
        <v>1</v>
      </c>
      <c r="E75" s="27">
        <f>480*1.12</f>
        <v>537.6</v>
      </c>
      <c r="F75" s="28">
        <f t="shared" si="6"/>
        <v>537.6</v>
      </c>
    </row>
    <row r="76" ht="23" customHeight="1" spans="1:6">
      <c r="A76" s="23">
        <v>7</v>
      </c>
      <c r="B76" s="38" t="s">
        <v>89</v>
      </c>
      <c r="C76" s="33"/>
      <c r="D76" s="39">
        <f>(8.5+3.5)*4.8</f>
        <v>57.6</v>
      </c>
      <c r="E76" s="27">
        <f>23*1.12</f>
        <v>25.76</v>
      </c>
      <c r="F76" s="28">
        <f t="shared" si="6"/>
        <v>1483.776</v>
      </c>
    </row>
    <row r="77" ht="23" customHeight="1" spans="1:6">
      <c r="A77" s="23">
        <v>8</v>
      </c>
      <c r="B77" s="38" t="s">
        <v>104</v>
      </c>
      <c r="C77" s="33"/>
      <c r="D77" s="39">
        <v>1</v>
      </c>
      <c r="E77" s="27">
        <f>500*1.12</f>
        <v>560</v>
      </c>
      <c r="F77" s="28">
        <f t="shared" si="6"/>
        <v>560</v>
      </c>
    </row>
    <row r="78" ht="23" customHeight="1" spans="1:6">
      <c r="A78" s="23">
        <v>9</v>
      </c>
      <c r="B78" s="24" t="s">
        <v>27</v>
      </c>
      <c r="C78" s="33"/>
      <c r="D78" s="26"/>
      <c r="E78" s="27"/>
      <c r="F78" s="22">
        <f>SUM(F70:F77)</f>
        <v>28132.5632</v>
      </c>
    </row>
    <row r="79" ht="23" customHeight="1" spans="1:6">
      <c r="A79" s="15" t="s">
        <v>105</v>
      </c>
      <c r="B79" s="16"/>
      <c r="C79" s="33"/>
      <c r="D79" s="26"/>
      <c r="E79" s="27"/>
      <c r="F79" s="22">
        <f>F78</f>
        <v>28132.5632</v>
      </c>
    </row>
    <row r="80" ht="27" customHeight="1" spans="1:6">
      <c r="A80" s="15" t="s">
        <v>106</v>
      </c>
      <c r="B80" s="16"/>
      <c r="C80" s="41" t="s">
        <v>107</v>
      </c>
      <c r="D80" s="41"/>
      <c r="E80" s="20">
        <f>F67+F79</f>
        <v>92261.174</v>
      </c>
      <c r="F80" s="22"/>
    </row>
    <row r="81" ht="73" customHeight="1" spans="1:6">
      <c r="A81" s="42" t="s">
        <v>108</v>
      </c>
      <c r="B81" s="43"/>
      <c r="C81" s="44" t="s">
        <v>109</v>
      </c>
      <c r="D81" s="45" t="s">
        <v>110</v>
      </c>
      <c r="E81" s="45"/>
      <c r="F81" s="46"/>
    </row>
    <row r="82" ht="23" customHeight="1"/>
    <row r="83" ht="23" customHeight="1"/>
    <row r="84" ht="23" customHeight="1"/>
    <row r="85" ht="23" customHeight="1"/>
    <row r="86" ht="23" customHeight="1"/>
    <row r="87" ht="23" customHeight="1"/>
    <row r="88" ht="23" customHeight="1"/>
    <row r="89" ht="23" customHeight="1"/>
    <row r="90" ht="23" customHeight="1"/>
    <row r="91" ht="23" customHeight="1"/>
    <row r="92" ht="23" customHeight="1"/>
    <row r="93" ht="23" customHeight="1"/>
    <row r="94" ht="23" customHeight="1"/>
    <row r="95" ht="23" customHeight="1"/>
    <row r="96" ht="23" customHeight="1"/>
    <row r="97" ht="23" customHeight="1"/>
    <row r="98" ht="23" customHeight="1"/>
    <row r="99" ht="23" customHeight="1"/>
  </sheetData>
  <mergeCells count="28">
    <mergeCell ref="A1:F1"/>
    <mergeCell ref="A2:B2"/>
    <mergeCell ref="C2:F2"/>
    <mergeCell ref="A3:B3"/>
    <mergeCell ref="C3:F3"/>
    <mergeCell ref="A4:B4"/>
    <mergeCell ref="C4:F4"/>
    <mergeCell ref="A5:B5"/>
    <mergeCell ref="D5:F5"/>
    <mergeCell ref="A15:B15"/>
    <mergeCell ref="D15:F15"/>
    <mergeCell ref="A28:B28"/>
    <mergeCell ref="D28:F28"/>
    <mergeCell ref="A36:B36"/>
    <mergeCell ref="D36:F36"/>
    <mergeCell ref="A53:B53"/>
    <mergeCell ref="D53:F53"/>
    <mergeCell ref="A58:B58"/>
    <mergeCell ref="D58:F58"/>
    <mergeCell ref="A67:B67"/>
    <mergeCell ref="A68:B68"/>
    <mergeCell ref="C68:F68"/>
    <mergeCell ref="A79:B79"/>
    <mergeCell ref="A80:B80"/>
    <mergeCell ref="C80:D80"/>
    <mergeCell ref="E80:F80"/>
    <mergeCell ref="A81:B81"/>
    <mergeCell ref="D81:F8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AHBBLXF</cp:lastModifiedBy>
  <dcterms:created xsi:type="dcterms:W3CDTF">2020-12-26T02:38:00Z</dcterms:created>
  <dcterms:modified xsi:type="dcterms:W3CDTF">2020-12-26T03:24:42Z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